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19995" windowHeight="7875"/>
  </bookViews>
  <sheets>
    <sheet name="Data" sheetId="1" r:id="rId1"/>
    <sheet name="Summary" sheetId="2" r:id="rId2"/>
    <sheet name="Sheet3" sheetId="3" r:id="rId3"/>
  </sheets>
  <calcPr calcId="145621"/>
</workbook>
</file>

<file path=xl/calcChain.xml><?xml version="1.0" encoding="utf-8"?>
<calcChain xmlns="http://schemas.openxmlformats.org/spreadsheetml/2006/main">
  <c r="M9" i="1" l="1"/>
  <c r="J44" i="1" l="1"/>
  <c r="J41" i="1"/>
  <c r="J36" i="1"/>
  <c r="L35" i="1"/>
  <c r="K35" i="1"/>
  <c r="J35" i="1"/>
  <c r="I35" i="1"/>
  <c r="H35" i="1"/>
  <c r="G35" i="1"/>
  <c r="F35" i="1"/>
  <c r="E35" i="1"/>
  <c r="D35" i="1"/>
  <c r="C35" i="1"/>
  <c r="F32" i="1"/>
  <c r="K31" i="1"/>
  <c r="K32" i="1" s="1"/>
  <c r="J31" i="1"/>
  <c r="J32" i="1" s="1"/>
  <c r="I31" i="1"/>
  <c r="I32" i="1" s="1"/>
  <c r="H31" i="1"/>
  <c r="H32" i="1" s="1"/>
  <c r="G31" i="1"/>
  <c r="G32" i="1" s="1"/>
  <c r="F31" i="1"/>
  <c r="E31" i="1"/>
  <c r="E32" i="1" s="1"/>
  <c r="D31" i="1"/>
  <c r="D32" i="1" s="1"/>
  <c r="C31" i="1"/>
  <c r="C32" i="1" s="1"/>
  <c r="K17" i="1"/>
  <c r="K44" i="1" s="1"/>
  <c r="J17" i="1"/>
  <c r="J37" i="1" s="1"/>
  <c r="I17" i="1"/>
  <c r="I41" i="1" s="1"/>
  <c r="H17" i="1"/>
  <c r="H36" i="1" s="1"/>
  <c r="G17" i="1"/>
  <c r="G44" i="1" s="1"/>
  <c r="F17" i="1"/>
  <c r="F37" i="1" s="1"/>
  <c r="E17" i="1"/>
  <c r="E41" i="1" s="1"/>
  <c r="D17" i="1"/>
  <c r="D36" i="1" s="1"/>
  <c r="C17" i="1"/>
  <c r="C44" i="1" s="1"/>
  <c r="K16" i="1"/>
  <c r="C16" i="1"/>
  <c r="I12" i="1"/>
  <c r="I40" i="1" s="1"/>
  <c r="H12" i="1"/>
  <c r="H40" i="1" s="1"/>
  <c r="E12" i="1"/>
  <c r="E40" i="1" s="1"/>
  <c r="D12" i="1"/>
  <c r="D40" i="1" s="1"/>
  <c r="C12" i="1"/>
  <c r="C40" i="1" s="1"/>
  <c r="K11" i="1"/>
  <c r="K12" i="1" s="1"/>
  <c r="K40" i="1" s="1"/>
  <c r="J11" i="1"/>
  <c r="J12" i="1" s="1"/>
  <c r="J40" i="1" s="1"/>
  <c r="I11" i="1"/>
  <c r="H11" i="1"/>
  <c r="G11" i="1"/>
  <c r="G12" i="1" s="1"/>
  <c r="G40" i="1" s="1"/>
  <c r="F11" i="1"/>
  <c r="F12" i="1" s="1"/>
  <c r="F40" i="1" s="1"/>
  <c r="E11" i="1"/>
  <c r="D11" i="1"/>
  <c r="L31" i="1"/>
  <c r="L32" i="1" s="1"/>
  <c r="H44" i="1" l="1"/>
  <c r="D44" i="1"/>
  <c r="I36" i="1"/>
  <c r="F41" i="1"/>
  <c r="F36" i="1"/>
  <c r="F44" i="1"/>
  <c r="E44" i="1"/>
  <c r="E36" i="1"/>
  <c r="L12" i="1"/>
  <c r="M12" i="1" s="1"/>
  <c r="M31" i="1"/>
  <c r="C37" i="1"/>
  <c r="G37" i="1"/>
  <c r="K37" i="1"/>
  <c r="M17" i="1"/>
  <c r="B7" i="2" s="1"/>
  <c r="D37" i="1"/>
  <c r="H37" i="1"/>
  <c r="C41" i="1"/>
  <c r="G41" i="1"/>
  <c r="K41" i="1"/>
  <c r="C36" i="1"/>
  <c r="G36" i="1"/>
  <c r="K36" i="1"/>
  <c r="E37" i="1"/>
  <c r="I37" i="1"/>
  <c r="D41" i="1"/>
  <c r="H41" i="1"/>
  <c r="M32" i="1" l="1"/>
  <c r="B4" i="2"/>
  <c r="M44" i="1"/>
  <c r="B10" i="2" s="1"/>
  <c r="M37" i="1"/>
  <c r="B6" i="2" s="1"/>
  <c r="M41" i="1"/>
  <c r="B9" i="2" s="1"/>
  <c r="M36" i="1"/>
  <c r="B5" i="2" s="1"/>
  <c r="L40" i="1"/>
  <c r="M40" i="1" s="1"/>
  <c r="B8" i="2" s="1"/>
  <c r="L11" i="1"/>
</calcChain>
</file>

<file path=xl/comments1.xml><?xml version="1.0" encoding="utf-8"?>
<comments xmlns="http://schemas.openxmlformats.org/spreadsheetml/2006/main">
  <authors>
    <author>A satisfied Microsoft Office user</author>
    <author>Allan Powelson</author>
  </authors>
  <commentList>
    <comment ref="E6" authorId="0">
      <text>
        <r>
          <rPr>
            <sz val="9"/>
            <color indexed="81"/>
            <rFont val="Tahoma"/>
            <family val="2"/>
          </rPr>
          <t>FBARBER:
Silviculture Surveys includes all surveys.  Provincially, it was assumed that 33% of all silviculture surveys were stocking and site productivity surveys.</t>
        </r>
      </text>
    </comment>
    <comment ref="E11" authorId="0">
      <text>
        <r>
          <rPr>
            <sz val="9"/>
            <color indexed="81"/>
            <rFont val="Tahoma"/>
            <family val="2"/>
          </rPr>
          <t>FBARBER:
There are two costs here…one for provincial average basic surveys cost/ha, the other is for provincial average enhanced surveys cost/ha</t>
        </r>
      </text>
    </comment>
    <comment ref="I11" authorId="0">
      <text>
        <r>
          <rPr>
            <sz val="9"/>
            <color indexed="81"/>
            <rFont val="Tahoma"/>
            <family val="2"/>
          </rPr>
          <t>FBARBER:
There are two numbers here…one is for the provincial  average basic spacing cost/ha, the other is for provincial average enhanced spacing cost/ha.</t>
        </r>
      </text>
    </comment>
    <comment ref="C16" authorId="0">
      <text>
        <r>
          <rPr>
            <sz val="9"/>
            <color indexed="81"/>
            <rFont val="Tahoma"/>
            <family val="2"/>
          </rPr>
          <t xml:space="preserve">Allan Powelson:
</t>
        </r>
      </text>
    </comment>
    <comment ref="B19" authorId="0">
      <text>
        <r>
          <rPr>
            <sz val="9"/>
            <color indexed="81"/>
            <rFont val="Tahoma"/>
            <family val="2"/>
          </rPr>
          <t>FBARBER:
The impact on Timber Supply values come from specific management plans. These values are not related to the level of planned treatment area values in this table.  These statistics are for illustration of potential impact on Timber Supply at the forest level.</t>
        </r>
      </text>
    </comment>
    <comment ref="B27" authorId="0">
      <text>
        <r>
          <rPr>
            <sz val="9"/>
            <color indexed="81"/>
            <rFont val="Tahoma"/>
            <family val="2"/>
          </rPr>
          <t>FBARBER:
Shorter rotation lengths may not be cumulative for combined treatments.</t>
        </r>
      </text>
    </comment>
    <comment ref="B30" authorId="0">
      <text>
        <r>
          <rPr>
            <sz val="9"/>
            <color indexed="81"/>
            <rFont val="Tahoma"/>
            <family val="2"/>
          </rPr>
          <t xml:space="preserve">FBARBER:
Employment Statistics from 3rd quarter FRBC IMS report, March 29, 1999.
</t>
        </r>
      </text>
    </comment>
    <comment ref="B36" authorId="0">
      <text>
        <r>
          <rPr>
            <sz val="9"/>
            <color indexed="81"/>
            <rFont val="Tahoma"/>
            <family val="2"/>
          </rPr>
          <t xml:space="preserve">Apowelson
Direct Long Term Employment - long term employment directy in the forest industry as a result of the total volume increment in 65 years based on values used for TSR 2 </t>
        </r>
      </text>
    </comment>
    <comment ref="B37" authorId="0">
      <text>
        <r>
          <rPr>
            <sz val="9"/>
            <color indexed="81"/>
            <rFont val="Tahoma"/>
            <family val="2"/>
          </rPr>
          <t xml:space="preserve">FBARBER:
Total Long Term Employment  (Direct+Indirect) - all jobs are directly and indirectly related to the forest industry in the province resulting from the volume increment in 65 years. </t>
        </r>
      </text>
    </comment>
    <comment ref="B44" authorId="1">
      <text>
        <r>
          <rPr>
            <b/>
            <sz val="9"/>
            <color indexed="81"/>
            <rFont val="Tahoma"/>
            <family val="2"/>
          </rPr>
          <t>Allan Powelson:</t>
        </r>
        <r>
          <rPr>
            <sz val="9"/>
            <color indexed="81"/>
            <rFont val="Tahoma"/>
            <family val="2"/>
          </rPr>
          <t xml:space="preserve">
This factor was estimated using the following assumptions and steps:
1. Assume 200 m3/ha of lodgepole pine or Englemann spruce to be representative of silvicultural projects.
2. Determine the stand-level aboveground biomass in oven-dry weight in tonnes per ha using Boudewyn et al. BC-X-411 for the Montane Cordillera Ecozone. (Lp 160 and Se 147 t wood and bark per ha).
3. Add root biomass using the root: shoot ratio of 0.201 from Moknay et al. 2005 (Temperate conifer forest).  (Lp 26 and Se 22 t roots per ha).
4. Divide by the merchantable volume to get ratio (Lp 0.93 and Se 0.85 t/m3). Take the median (0.89 t biomass /m3).
5. Convert to C by multiplying by 0.5 and CO2 by multiplying by 44/12. (1.6 t CO2/m3).
6. Consider increased harvesting elsewhere and assume that 50% of harvest is emitted to the atmosphere with a couple of years through bioenergy or decay of paper. Then multiply by 0.5. (0.81 t CO2e stored/m3).
7. Assume that 10% of the CO2 gain is emitted by fertilizer in fert projects. (0.73 t CO2e stored/m3).
</t>
        </r>
      </text>
    </comment>
  </commentList>
</comments>
</file>

<file path=xl/comments2.xml><?xml version="1.0" encoding="utf-8"?>
<comments xmlns="http://schemas.openxmlformats.org/spreadsheetml/2006/main">
  <authors>
    <author>A satisfied Microsoft Office user</author>
    <author>Allan Powelson</author>
  </authors>
  <commentList>
    <comment ref="A4" authorId="0">
      <text>
        <r>
          <rPr>
            <sz val="9"/>
            <color indexed="81"/>
            <rFont val="Tahoma"/>
            <family val="2"/>
          </rPr>
          <t xml:space="preserve">FBARBER:
Employment Statistics from 3rd quarter FRBC IMS report, March 29, 1999.
</t>
        </r>
      </text>
    </comment>
    <comment ref="A5" authorId="0">
      <text>
        <r>
          <rPr>
            <sz val="9"/>
            <color indexed="81"/>
            <rFont val="Tahoma"/>
            <family val="2"/>
          </rPr>
          <t xml:space="preserve">Apowelson
Direct Long Term Employment - long term employment directy in the forest industry as a result of the total volume increment in 65 years based on values used for TSR 2 </t>
        </r>
      </text>
    </comment>
    <comment ref="A6" authorId="0">
      <text>
        <r>
          <rPr>
            <sz val="9"/>
            <color indexed="81"/>
            <rFont val="Tahoma"/>
            <family val="2"/>
          </rPr>
          <t xml:space="preserve">FBARBER:
Total Long Term Employment  (Direct+Indirect) - all jobs are directly and indirectly related to the forest industry in the province resulting from the volume increment in 65 years. </t>
        </r>
      </text>
    </comment>
    <comment ref="A10" authorId="1">
      <text>
        <r>
          <rPr>
            <b/>
            <sz val="9"/>
            <color indexed="81"/>
            <rFont val="Tahoma"/>
            <family val="2"/>
          </rPr>
          <t>Allan Powelson:</t>
        </r>
        <r>
          <rPr>
            <sz val="9"/>
            <color indexed="81"/>
            <rFont val="Tahoma"/>
            <family val="2"/>
          </rPr>
          <t xml:space="preserve">
This factor was estimated using the following assumptions and steps:
1. Assume 200 m3/ha of lodgepole pine or Englemann spruce to be representative of silvicultural projects.
2. Determine the stand-level aboveground biomass in oven-dry weight in tonnes per ha using Boudewyn et al. BC-X-411 for the Montane Cordillera Ecozone. (Lp 160 and Se 147 t wood and bark per ha).
3. Add root biomass using the root: shoot ratio of 0.201 from Moknay et al. 2005 (Temperate conifer forest).  (Lp 26 and Se 22 t roots per ha).
4. Divide by the merchantable volume to get ratio (Lp 0.93 and Se 0.85 t/m3). Take the median (0.89 t biomass /m3).
5. Convert to C by multiplying by 0.5 and CO2 by multiplying by 44/12. (1.6 t CO2/m3).
6. Consider increased harvesting elsewhere and assume that 50% of harvest is emitted to the atmosphere with a couple of years through bioenergy or decay of paper. Then multiply by 0.5. (0.81 t CO2e stored/m3).
7. Assume that 10% of the CO2 gain is emitted by fertilizer in fert projects. (0.73 t CO2e stored/m3).
</t>
        </r>
      </text>
    </comment>
  </commentList>
</comments>
</file>

<file path=xl/sharedStrings.xml><?xml version="1.0" encoding="utf-8"?>
<sst xmlns="http://schemas.openxmlformats.org/spreadsheetml/2006/main" count="121" uniqueCount="93">
  <si>
    <t xml:space="preserve"> </t>
  </si>
  <si>
    <t>Performance</t>
  </si>
  <si>
    <t>Tree</t>
  </si>
  <si>
    <t>Seeds</t>
  </si>
  <si>
    <t>Silviculture</t>
  </si>
  <si>
    <t>Site</t>
  </si>
  <si>
    <t>Brushing</t>
  </si>
  <si>
    <t>Spacing</t>
  </si>
  <si>
    <t>Pruning</t>
  </si>
  <si>
    <t>Fertilizing</t>
  </si>
  <si>
    <t>support staff</t>
  </si>
  <si>
    <t>Totals</t>
  </si>
  <si>
    <t>Measure</t>
  </si>
  <si>
    <t>Improvement</t>
  </si>
  <si>
    <t>and seedling</t>
  </si>
  <si>
    <t xml:space="preserve">Surveys </t>
  </si>
  <si>
    <t>preparation</t>
  </si>
  <si>
    <t>Planting</t>
  </si>
  <si>
    <t>and admin</t>
  </si>
  <si>
    <t>purchase</t>
  </si>
  <si>
    <t>planned treatment area</t>
  </si>
  <si>
    <t>total cost</t>
  </si>
  <si>
    <t xml:space="preserve">Timber Supply </t>
  </si>
  <si>
    <t>Stand Level</t>
  </si>
  <si>
    <t>% that is included in the current TSR base case</t>
  </si>
  <si>
    <t>what is the potential volume/ha gain (m3/ha/yr)</t>
  </si>
  <si>
    <t>what is the potential tot. vol. increment in 65 years (m3)</t>
  </si>
  <si>
    <t>Forest Level</t>
  </si>
  <si>
    <t xml:space="preserve">impact on timber supply at the forest level  </t>
  </si>
  <si>
    <t>3-9%</t>
  </si>
  <si>
    <t>0-10%</t>
  </si>
  <si>
    <t>0-9%</t>
  </si>
  <si>
    <t>2-13%</t>
  </si>
  <si>
    <t>operability - reduced years to achieve TSR objectives</t>
  </si>
  <si>
    <t xml:space="preserve"> 5-10</t>
  </si>
  <si>
    <t>1-3</t>
  </si>
  <si>
    <t>5-20</t>
  </si>
  <si>
    <t xml:space="preserve"> 5-30</t>
  </si>
  <si>
    <t>Wood Value</t>
  </si>
  <si>
    <t>impact on wood value</t>
  </si>
  <si>
    <t>+</t>
  </si>
  <si>
    <t>+/-</t>
  </si>
  <si>
    <t>proportion of area with this as primary objective</t>
  </si>
  <si>
    <t>is this currently a part of the TSR base case assumptions</t>
  </si>
  <si>
    <t>limited</t>
  </si>
  <si>
    <t>no</t>
  </si>
  <si>
    <t>yes</t>
  </si>
  <si>
    <t>% that is incremental to the current TSR base case</t>
  </si>
  <si>
    <t>n/a</t>
  </si>
  <si>
    <t xml:space="preserve">what improvement in total value at harvest (%) </t>
  </si>
  <si>
    <t>-</t>
  </si>
  <si>
    <t>5-15%</t>
  </si>
  <si>
    <t>15-30%</t>
  </si>
  <si>
    <t>1-5%</t>
  </si>
  <si>
    <t>Employment</t>
  </si>
  <si>
    <t xml:space="preserve">short term employment (person days/ha) </t>
  </si>
  <si>
    <t>total employment (person days/year)</t>
  </si>
  <si>
    <r>
      <t xml:space="preserve">total full time equivalent positions </t>
    </r>
    <r>
      <rPr>
        <b/>
        <sz val="12"/>
        <rFont val="Arial"/>
        <family val="2"/>
      </rPr>
      <t>(FTE)</t>
    </r>
  </si>
  <si>
    <t>proportion that is first nations</t>
  </si>
  <si>
    <t>proportion that is displaced forest workers</t>
  </si>
  <si>
    <t>proportion that is regular contractors/employees</t>
  </si>
  <si>
    <r>
      <t xml:space="preserve">Direct Long Term Employment  </t>
    </r>
    <r>
      <rPr>
        <vertAlign val="superscript"/>
        <sz val="12"/>
        <rFont val="Arial"/>
        <family val="2"/>
      </rPr>
      <t xml:space="preserve"> </t>
    </r>
  </si>
  <si>
    <t>Tot. Long Term Employment (Direct+Indirect)</t>
  </si>
  <si>
    <t>Gross Domenstict Product (GDP)</t>
  </si>
  <si>
    <t>GDP ($) created from undertaking activitys</t>
  </si>
  <si>
    <t>Carbon Sequestration</t>
  </si>
  <si>
    <t>Performance Measures Calculator</t>
  </si>
  <si>
    <t>Activities</t>
  </si>
  <si>
    <t>Costs ($ per ha)</t>
  </si>
  <si>
    <t>Backlog Surveys</t>
  </si>
  <si>
    <t>Enhanced Surveys</t>
  </si>
  <si>
    <t>Site Preparation</t>
  </si>
  <si>
    <t>Basic Spacing</t>
  </si>
  <si>
    <t>Enhanced Spacing</t>
  </si>
  <si>
    <t xml:space="preserve">treatment cost ($/ha)  </t>
  </si>
  <si>
    <t>Fertilization</t>
  </si>
  <si>
    <t>Seeds/Seedlings</t>
  </si>
  <si>
    <t>Performance Indicators ( Fiscal year)</t>
  </si>
  <si>
    <t>Basic and Enhanced Silviculture Activities</t>
  </si>
  <si>
    <t>Fiscal Year</t>
  </si>
  <si>
    <t>Indicator</t>
  </si>
  <si>
    <t>2016/17</t>
  </si>
  <si>
    <t>2017/18</t>
  </si>
  <si>
    <t>2018/19</t>
  </si>
  <si>
    <t xml:space="preserve">Direct Long Term Employment (FTEs) </t>
  </si>
  <si>
    <t>Tot. Long Term Employment (Direct+Indirect FTEs)</t>
  </si>
  <si>
    <t>2019/20</t>
  </si>
  <si>
    <t>2020/21</t>
  </si>
  <si>
    <t>GDP ($) created for additional m3 in 65 years</t>
  </si>
  <si>
    <t>tot. vol. increment in 65 years (m3)</t>
  </si>
  <si>
    <t>CO2e sequestered for additional m3 in 65 years (tonnes)</t>
  </si>
  <si>
    <t>Performance Indicators ( 2016/17)</t>
  </si>
  <si>
    <t>Data entry row</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</si>
</sst>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quot;$&quot;#,##0"/>
    <numFmt numFmtId="165" formatCode="0.0"/>
    <numFmt numFmtId="166" formatCode="&quot;$&quot;#,##0.00"/>
  </numFmts>
  <fonts count="20">
    <font>
      <sz val="11"/>
      <color theme="1"/>
      <name val="Calibri"/>
      <family val="2"/>
      <scheme val="minor"/>
    </font>
    <font>
      <sz val="11"/>
      <color theme="1"/>
      <name val="Calibri"/>
      <family val="2"/>
      <scheme val="minor"/>
    </font>
    <font>
      <sz val="12"/>
      <name val="Arial"/>
      <family val="2"/>
    </font>
    <font>
      <b/>
      <i/>
      <sz val="24"/>
      <color indexed="12"/>
      <name val="Arial"/>
      <family val="2"/>
    </font>
    <font>
      <b/>
      <i/>
      <sz val="12"/>
      <name val="Arial"/>
      <family val="2"/>
    </font>
    <font>
      <b/>
      <i/>
      <sz val="24"/>
      <color indexed="10"/>
      <name val="Arial"/>
      <family val="2"/>
    </font>
    <font>
      <sz val="24"/>
      <color indexed="10"/>
      <name val="Palatino"/>
    </font>
    <font>
      <sz val="24"/>
      <color indexed="10"/>
      <name val="Arial"/>
      <family val="2"/>
    </font>
    <font>
      <b/>
      <i/>
      <sz val="12"/>
      <name val="Palatino"/>
    </font>
    <font>
      <sz val="12"/>
      <name val="Palatino"/>
    </font>
    <font>
      <b/>
      <sz val="12"/>
      <name val="Arial"/>
      <family val="2"/>
    </font>
    <font>
      <vertAlign val="superscript"/>
      <sz val="12"/>
      <name val="Arial"/>
      <family val="2"/>
    </font>
    <font>
      <i/>
      <sz val="12"/>
      <name val="Arial"/>
      <family val="2"/>
    </font>
    <font>
      <sz val="9"/>
      <color indexed="81"/>
      <name val="Tahoma"/>
      <family val="2"/>
    </font>
    <font>
      <b/>
      <sz val="9"/>
      <color indexed="81"/>
      <name val="Tahoma"/>
      <family val="2"/>
    </font>
    <font>
      <b/>
      <sz val="24"/>
      <color indexed="10"/>
      <name val="Arial"/>
      <family val="2"/>
    </font>
    <font>
      <b/>
      <u/>
      <sz val="24"/>
      <color indexed="10"/>
      <name val="Arial"/>
      <family val="2"/>
    </font>
    <font>
      <sz val="8"/>
      <name val="Arial"/>
      <family val="2"/>
    </font>
    <font>
      <i/>
      <sz val="8"/>
      <name val="Arial"/>
      <family val="2"/>
    </font>
    <font>
      <sz val="9"/>
      <name val="Arial"/>
      <family val="2"/>
    </font>
  </fonts>
  <fills count="8">
    <fill>
      <patternFill patternType="none"/>
    </fill>
    <fill>
      <patternFill patternType="gray125"/>
    </fill>
    <fill>
      <patternFill patternType="solid">
        <fgColor theme="0" tint="-0.2499465926084170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tint="-0.249977111117893"/>
        <bgColor indexed="64"/>
      </patternFill>
    </fill>
  </fills>
  <borders count="11">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78">
    <xf numFmtId="0" fontId="0" fillId="0" borderId="0" xfId="0"/>
    <xf numFmtId="0" fontId="2" fillId="0" borderId="0" xfId="0" applyFont="1"/>
    <xf numFmtId="0" fontId="2" fillId="0" borderId="0" xfId="0" applyFont="1" applyAlignment="1">
      <alignment horizontal="right"/>
    </xf>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4" fillId="0" borderId="0" xfId="0" applyFont="1" applyAlignment="1">
      <alignment horizontal="center"/>
    </xf>
    <xf numFmtId="4" fontId="2" fillId="0" borderId="0" xfId="0" applyNumberFormat="1" applyFon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0" fontId="9" fillId="0" borderId="0" xfId="0" applyFont="1"/>
    <xf numFmtId="3" fontId="2" fillId="0" borderId="0" xfId="0" applyNumberFormat="1" applyFont="1" applyAlignment="1">
      <alignment horizontal="center"/>
    </xf>
    <xf numFmtId="165" fontId="2" fillId="0" borderId="0" xfId="0" applyNumberFormat="1" applyFont="1"/>
    <xf numFmtId="9" fontId="2" fillId="0" borderId="0" xfId="0" applyNumberFormat="1" applyFont="1" applyAlignment="1">
      <alignment horizontal="center"/>
    </xf>
    <xf numFmtId="0" fontId="2" fillId="0" borderId="0" xfId="0" applyFont="1" applyFill="1" applyAlignment="1">
      <alignment horizontal="center"/>
    </xf>
    <xf numFmtId="165" fontId="2" fillId="0" borderId="0" xfId="0" applyNumberFormat="1" applyFont="1" applyFill="1" applyAlignment="1">
      <alignment horizontal="center"/>
    </xf>
    <xf numFmtId="2" fontId="2" fillId="0" borderId="0" xfId="0" applyNumberFormat="1" applyFont="1" applyAlignment="1">
      <alignment horizontal="center"/>
    </xf>
    <xf numFmtId="3" fontId="2" fillId="0" borderId="0" xfId="0" applyNumberFormat="1" applyFont="1" applyFill="1" applyAlignment="1">
      <alignment horizontal="center"/>
    </xf>
    <xf numFmtId="16" fontId="2" fillId="0" borderId="0" xfId="0" applyNumberFormat="1" applyFont="1" applyAlignment="1">
      <alignment horizontal="center"/>
    </xf>
    <xf numFmtId="16" fontId="2" fillId="0" borderId="0" xfId="0" quotePrefix="1" applyNumberFormat="1" applyFont="1" applyAlignment="1">
      <alignment horizontal="center"/>
    </xf>
    <xf numFmtId="165" fontId="2" fillId="0" borderId="0" xfId="0" applyNumberFormat="1" applyFont="1" applyAlignment="1">
      <alignment horizontal="center"/>
    </xf>
    <xf numFmtId="3" fontId="10" fillId="0" borderId="0" xfId="0" applyNumberFormat="1" applyFont="1" applyAlignment="1">
      <alignment horizontal="center"/>
    </xf>
    <xf numFmtId="164" fontId="2" fillId="0" borderId="0" xfId="0" applyNumberFormat="1" applyFont="1" applyAlignment="1">
      <alignment horizontal="right"/>
    </xf>
    <xf numFmtId="164" fontId="2" fillId="0" borderId="0" xfId="0" applyNumberFormat="1" applyFont="1" applyAlignment="1">
      <alignment horizontal="center" vertical="center"/>
    </xf>
    <xf numFmtId="43" fontId="2" fillId="0" borderId="0" xfId="1" applyFont="1" applyAlignment="1">
      <alignment horizontal="right"/>
    </xf>
    <xf numFmtId="0" fontId="15" fillId="0" borderId="0" xfId="0" applyFont="1" applyFill="1"/>
    <xf numFmtId="0" fontId="15" fillId="0" borderId="0" xfId="0" applyFont="1"/>
    <xf numFmtId="0" fontId="16" fillId="0" borderId="0" xfId="0" applyFont="1" applyBorder="1"/>
    <xf numFmtId="0" fontId="4" fillId="0" borderId="0" xfId="0" applyFont="1" applyBorder="1"/>
    <xf numFmtId="0" fontId="2" fillId="0" borderId="0" xfId="0" applyFont="1" applyBorder="1"/>
    <xf numFmtId="0" fontId="10" fillId="0" borderId="1" xfId="0" applyFont="1" applyBorder="1"/>
    <xf numFmtId="166" fontId="10" fillId="0" borderId="2" xfId="0" applyNumberFormat="1" applyFont="1" applyBorder="1"/>
    <xf numFmtId="0" fontId="2" fillId="0" borderId="3" xfId="0" applyFont="1" applyBorder="1"/>
    <xf numFmtId="166" fontId="2" fillId="0" borderId="4" xfId="0" applyNumberFormat="1" applyFont="1" applyBorder="1"/>
    <xf numFmtId="0" fontId="2" fillId="0" borderId="3" xfId="0" applyFont="1" applyFill="1" applyBorder="1"/>
    <xf numFmtId="166" fontId="2" fillId="0" borderId="4" xfId="0" applyNumberFormat="1" applyFont="1" applyFill="1" applyBorder="1"/>
    <xf numFmtId="4" fontId="2" fillId="0" borderId="0" xfId="0" quotePrefix="1" applyNumberFormat="1" applyFont="1" applyFill="1" applyAlignment="1">
      <alignment horizontal="center"/>
    </xf>
    <xf numFmtId="166" fontId="2" fillId="0" borderId="0" xfId="0" applyNumberFormat="1" applyFont="1" applyAlignment="1">
      <alignment horizontal="center"/>
    </xf>
    <xf numFmtId="164" fontId="2" fillId="0" borderId="0" xfId="0" applyNumberFormat="1" applyFont="1" applyFill="1" applyAlignment="1">
      <alignment horizontal="center"/>
    </xf>
    <xf numFmtId="0" fontId="2" fillId="0" borderId="5" xfId="0" applyFont="1" applyBorder="1"/>
    <xf numFmtId="166" fontId="2" fillId="0" borderId="6" xfId="0" applyNumberFormat="1" applyFont="1" applyBorder="1"/>
    <xf numFmtId="166" fontId="2" fillId="0" borderId="0" xfId="0" applyNumberFormat="1" applyFont="1"/>
    <xf numFmtId="165" fontId="2" fillId="0" borderId="0" xfId="0" applyNumberFormat="1" applyFont="1" applyFill="1"/>
    <xf numFmtId="0" fontId="2" fillId="0" borderId="0" xfId="0" applyFont="1" applyFill="1"/>
    <xf numFmtId="166" fontId="2" fillId="0" borderId="0" xfId="0" applyNumberFormat="1" applyFont="1" applyFill="1"/>
    <xf numFmtId="0" fontId="2" fillId="0" borderId="0" xfId="0" quotePrefix="1" applyFont="1" applyFill="1" applyAlignment="1">
      <alignment horizontal="center"/>
    </xf>
    <xf numFmtId="0" fontId="0" fillId="0" borderId="0" xfId="0" quotePrefix="1" applyFill="1" applyAlignment="1">
      <alignment horizontal="center"/>
    </xf>
    <xf numFmtId="0" fontId="0" fillId="0" borderId="0" xfId="0" applyFill="1" applyAlignment="1">
      <alignment horizontal="center"/>
    </xf>
    <xf numFmtId="9" fontId="2" fillId="0" borderId="0" xfId="0" applyNumberFormat="1" applyFont="1" applyFill="1" applyAlignment="1">
      <alignment horizontal="center"/>
    </xf>
    <xf numFmtId="3" fontId="2" fillId="2" borderId="0" xfId="0" applyNumberFormat="1" applyFont="1" applyFill="1" applyAlignment="1">
      <alignment horizontal="center"/>
    </xf>
    <xf numFmtId="1" fontId="2" fillId="2" borderId="0" xfId="0" applyNumberFormat="1" applyFont="1" applyFill="1"/>
    <xf numFmtId="0" fontId="0" fillId="2" borderId="0" xfId="0" applyFill="1" applyAlignment="1">
      <alignment horizontal="center"/>
    </xf>
    <xf numFmtId="0" fontId="0" fillId="3" borderId="0" xfId="0" applyFill="1"/>
    <xf numFmtId="0" fontId="0" fillId="4" borderId="0" xfId="0" applyFill="1"/>
    <xf numFmtId="0" fontId="17" fillId="4" borderId="0" xfId="0" applyFont="1" applyFill="1"/>
    <xf numFmtId="0" fontId="18" fillId="4" borderId="0" xfId="0" applyFont="1" applyFill="1"/>
    <xf numFmtId="0" fontId="0" fillId="0" borderId="7" xfId="0" applyBorder="1"/>
    <xf numFmtId="3" fontId="0" fillId="0" borderId="7" xfId="0" applyNumberFormat="1" applyBorder="1"/>
    <xf numFmtId="43" fontId="0" fillId="0" borderId="7" xfId="0" applyNumberFormat="1" applyBorder="1"/>
    <xf numFmtId="44" fontId="0" fillId="0" borderId="7" xfId="2" applyFont="1" applyBorder="1"/>
    <xf numFmtId="0" fontId="19" fillId="4" borderId="0" xfId="0" applyFont="1" applyFill="1"/>
    <xf numFmtId="0" fontId="4" fillId="5" borderId="0" xfId="0" applyFont="1" applyFill="1"/>
    <xf numFmtId="0" fontId="4" fillId="5" borderId="0" xfId="0" applyFont="1" applyFill="1" applyAlignment="1">
      <alignment horizontal="center"/>
    </xf>
    <xf numFmtId="0" fontId="4" fillId="5" borderId="0" xfId="0" applyFont="1" applyFill="1" applyAlignment="1">
      <alignment horizontal="center" vertical="center" wrapText="1"/>
    </xf>
    <xf numFmtId="0" fontId="2" fillId="5" borderId="0" xfId="0" applyFont="1" applyFill="1"/>
    <xf numFmtId="0" fontId="2" fillId="5" borderId="0" xfId="0" applyFont="1" applyFill="1" applyAlignment="1">
      <alignment horizontal="right"/>
    </xf>
    <xf numFmtId="0" fontId="4" fillId="6" borderId="0" xfId="0" applyFont="1" applyFill="1"/>
    <xf numFmtId="0" fontId="2" fillId="6" borderId="0" xfId="0" applyFont="1" applyFill="1"/>
    <xf numFmtId="0" fontId="8" fillId="6" borderId="0" xfId="0" applyFont="1" applyFill="1"/>
    <xf numFmtId="0" fontId="12" fillId="6" borderId="0" xfId="0" applyFont="1" applyFill="1"/>
    <xf numFmtId="0" fontId="0" fillId="7" borderId="0" xfId="0" applyFill="1"/>
    <xf numFmtId="0" fontId="4" fillId="7" borderId="0" xfId="0" applyFont="1" applyFill="1"/>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P46"/>
  <sheetViews>
    <sheetView tabSelected="1" topLeftCell="A13" zoomScale="76" zoomScaleNormal="76" workbookViewId="0">
      <selection activeCell="G38" sqref="G38"/>
    </sheetView>
  </sheetViews>
  <sheetFormatPr defaultRowHeight="15"/>
  <cols>
    <col min="1" max="1" width="15.140625" customWidth="1"/>
    <col min="2" max="2" width="69.28515625" customWidth="1"/>
    <col min="3" max="4" width="15.42578125" customWidth="1"/>
    <col min="5" max="5" width="15.5703125" customWidth="1"/>
    <col min="6" max="6" width="14.42578125" customWidth="1"/>
    <col min="7" max="7" width="19.28515625" customWidth="1"/>
    <col min="8" max="9" width="15.5703125" customWidth="1"/>
    <col min="10" max="10" width="15.42578125" customWidth="1"/>
    <col min="11" max="11" width="20" customWidth="1"/>
    <col min="12" max="12" width="16.7109375" customWidth="1"/>
    <col min="13" max="13" width="19.42578125" customWidth="1"/>
    <col min="14" max="14" width="20.28515625" customWidth="1"/>
    <col min="15" max="15" width="21.28515625" customWidth="1"/>
    <col min="16" max="16" width="18.5703125" customWidth="1"/>
  </cols>
  <sheetData>
    <row r="1" spans="1:16" ht="30">
      <c r="B1" s="28" t="s">
        <v>66</v>
      </c>
      <c r="C1" s="2"/>
      <c r="D1" s="2"/>
      <c r="E1" s="1"/>
      <c r="F1" s="29"/>
      <c r="G1" s="29"/>
      <c r="H1" s="30"/>
      <c r="I1" s="31"/>
      <c r="J1" s="32"/>
      <c r="L1" s="4"/>
      <c r="M1" s="4"/>
      <c r="N1" s="1"/>
      <c r="O1" s="33" t="s">
        <v>67</v>
      </c>
      <c r="P1" s="34" t="s">
        <v>68</v>
      </c>
    </row>
    <row r="2" spans="1:16" ht="30">
      <c r="B2" s="3"/>
      <c r="C2" s="2"/>
      <c r="D2" s="2"/>
      <c r="E2" s="1"/>
      <c r="F2" s="1"/>
      <c r="G2" s="1"/>
      <c r="H2" s="1"/>
      <c r="I2" s="4"/>
      <c r="J2" s="1"/>
      <c r="L2" s="4"/>
      <c r="M2" s="4"/>
      <c r="N2" s="1"/>
      <c r="O2" s="35"/>
      <c r="P2" s="36"/>
    </row>
    <row r="3" spans="1:16" ht="30.75">
      <c r="B3" s="3" t="s">
        <v>91</v>
      </c>
      <c r="C3" s="2"/>
      <c r="D3" s="2"/>
      <c r="E3" s="1"/>
      <c r="G3" s="5" t="s">
        <v>78</v>
      </c>
      <c r="H3" s="6"/>
      <c r="I3" s="7"/>
      <c r="J3" s="7"/>
      <c r="K3" s="7"/>
      <c r="L3" s="1"/>
      <c r="M3" s="1"/>
      <c r="N3" s="1"/>
      <c r="O3" s="35"/>
      <c r="P3" s="36"/>
    </row>
    <row r="4" spans="1:16" ht="15.75">
      <c r="B4" s="1"/>
      <c r="C4" s="2"/>
      <c r="D4" s="2"/>
      <c r="E4" s="1"/>
      <c r="F4" s="1"/>
      <c r="G4" s="1"/>
      <c r="H4" s="4"/>
      <c r="I4" s="1"/>
      <c r="J4" s="1"/>
      <c r="K4" s="1"/>
      <c r="M4" s="1"/>
      <c r="N4" s="1"/>
      <c r="O4" s="35" t="s">
        <v>69</v>
      </c>
      <c r="P4" s="36">
        <v>29.06</v>
      </c>
    </row>
    <row r="5" spans="1:16" ht="15.75">
      <c r="A5" s="8"/>
      <c r="B5" s="64" t="s">
        <v>1</v>
      </c>
      <c r="C5" s="65" t="s">
        <v>2</v>
      </c>
      <c r="D5" s="65" t="s">
        <v>3</v>
      </c>
      <c r="E5" s="65" t="s">
        <v>4</v>
      </c>
      <c r="F5" s="65" t="s">
        <v>5</v>
      </c>
      <c r="G5" s="65"/>
      <c r="H5" s="65" t="s">
        <v>6</v>
      </c>
      <c r="I5" s="65" t="s">
        <v>7</v>
      </c>
      <c r="J5" s="65" t="s">
        <v>8</v>
      </c>
      <c r="K5" s="66" t="s">
        <v>9</v>
      </c>
      <c r="L5" s="65" t="s">
        <v>10</v>
      </c>
      <c r="M5" s="9" t="s">
        <v>11</v>
      </c>
      <c r="N5" s="1"/>
      <c r="O5" s="35" t="s">
        <v>70</v>
      </c>
      <c r="P5" s="36">
        <v>31.79</v>
      </c>
    </row>
    <row r="6" spans="1:16" ht="15.75">
      <c r="A6" s="8"/>
      <c r="B6" s="64" t="s">
        <v>12</v>
      </c>
      <c r="C6" s="65" t="s">
        <v>13</v>
      </c>
      <c r="D6" s="65" t="s">
        <v>14</v>
      </c>
      <c r="E6" s="64" t="s">
        <v>15</v>
      </c>
      <c r="F6" s="65" t="s">
        <v>16</v>
      </c>
      <c r="G6" s="65" t="s">
        <v>17</v>
      </c>
      <c r="H6" s="65"/>
      <c r="I6" s="65"/>
      <c r="J6" s="65"/>
      <c r="K6" s="65"/>
      <c r="L6" s="65" t="s">
        <v>18</v>
      </c>
      <c r="M6" s="9"/>
      <c r="N6" s="1"/>
      <c r="O6" s="35" t="s">
        <v>71</v>
      </c>
      <c r="P6" s="36">
        <v>850.35</v>
      </c>
    </row>
    <row r="7" spans="1:16" ht="15.75">
      <c r="B7" s="67"/>
      <c r="C7" s="68"/>
      <c r="D7" s="65" t="s">
        <v>19</v>
      </c>
      <c r="E7" s="65"/>
      <c r="F7" s="67"/>
      <c r="G7" s="67"/>
      <c r="H7" s="67"/>
      <c r="I7" s="67"/>
      <c r="J7" s="67"/>
      <c r="K7" s="67"/>
      <c r="L7" s="67"/>
      <c r="M7" s="1"/>
      <c r="N7" s="1"/>
      <c r="O7" s="35" t="s">
        <v>17</v>
      </c>
      <c r="P7" s="36">
        <v>590.53</v>
      </c>
    </row>
    <row r="8" spans="1:16" ht="15.75">
      <c r="B8" s="1"/>
      <c r="C8" s="2"/>
      <c r="D8" s="9"/>
      <c r="E8" s="9"/>
      <c r="F8" s="1"/>
      <c r="G8" s="1"/>
      <c r="H8" s="1"/>
      <c r="I8" s="1"/>
      <c r="J8" s="1"/>
      <c r="K8" s="1"/>
      <c r="L8" s="1"/>
      <c r="M8" s="1"/>
      <c r="N8" s="1"/>
      <c r="O8" s="37" t="s">
        <v>6</v>
      </c>
      <c r="P8" s="38">
        <v>759.34</v>
      </c>
    </row>
    <row r="9" spans="1:16" ht="15.75">
      <c r="A9" s="73" t="s">
        <v>92</v>
      </c>
      <c r="B9" s="74" t="s">
        <v>20</v>
      </c>
      <c r="C9" s="52">
        <v>0</v>
      </c>
      <c r="D9" s="52">
        <v>0</v>
      </c>
      <c r="E9" s="52">
        <v>0</v>
      </c>
      <c r="F9" s="52">
        <v>0</v>
      </c>
      <c r="G9" s="52">
        <v>0</v>
      </c>
      <c r="H9" s="52">
        <v>0</v>
      </c>
      <c r="I9" s="53">
        <v>0</v>
      </c>
      <c r="J9" s="52">
        <v>0</v>
      </c>
      <c r="K9" s="52">
        <v>0</v>
      </c>
      <c r="L9" s="54">
        <v>0</v>
      </c>
      <c r="M9" s="14">
        <f>SUM(C9:L9)</f>
        <v>0</v>
      </c>
      <c r="N9" s="1"/>
      <c r="O9" s="35" t="s">
        <v>72</v>
      </c>
      <c r="P9" s="36">
        <v>467.25</v>
      </c>
    </row>
    <row r="10" spans="1:16" ht="15.75">
      <c r="B10" s="70"/>
      <c r="C10" s="2"/>
      <c r="D10" s="2"/>
      <c r="E10" s="1"/>
      <c r="F10" s="1"/>
      <c r="G10" s="1"/>
      <c r="H10" s="1"/>
      <c r="I10" s="1"/>
      <c r="J10" s="10"/>
      <c r="K10" s="1"/>
      <c r="L10" s="1"/>
      <c r="M10" s="1"/>
      <c r="N10" s="1"/>
      <c r="O10" s="35" t="s">
        <v>73</v>
      </c>
      <c r="P10" s="36">
        <v>1045.01</v>
      </c>
    </row>
    <row r="11" spans="1:16" ht="15.75">
      <c r="B11" s="69" t="s">
        <v>74</v>
      </c>
      <c r="C11" s="10">
        <v>0</v>
      </c>
      <c r="D11" s="10">
        <f>+P13</f>
        <v>1.21</v>
      </c>
      <c r="E11" s="39">
        <f>(P4+P5)/2</f>
        <v>30.424999999999997</v>
      </c>
      <c r="F11" s="10">
        <f>+P6</f>
        <v>850.35</v>
      </c>
      <c r="G11" s="10">
        <f>+P7</f>
        <v>590.53</v>
      </c>
      <c r="H11" s="10">
        <f>+P8</f>
        <v>759.34</v>
      </c>
      <c r="I11" s="39">
        <f>(P9+P10)/2</f>
        <v>756.13</v>
      </c>
      <c r="J11" s="10">
        <f>+P11</f>
        <v>1641.6</v>
      </c>
      <c r="K11" s="40">
        <f>P12</f>
        <v>331.61</v>
      </c>
      <c r="L11" s="10" t="e">
        <f>(L12/M9)</f>
        <v>#DIV/0!</v>
      </c>
      <c r="M11" s="12"/>
      <c r="N11" s="1"/>
      <c r="O11" s="35" t="s">
        <v>8</v>
      </c>
      <c r="P11" s="36">
        <v>1641.6</v>
      </c>
    </row>
    <row r="12" spans="1:16" ht="15.75">
      <c r="A12" s="13"/>
      <c r="B12" s="70" t="s">
        <v>21</v>
      </c>
      <c r="C12" s="11">
        <f t="shared" ref="C12:K12" si="0">(C11*C9)</f>
        <v>0</v>
      </c>
      <c r="D12" s="11">
        <f t="shared" si="0"/>
        <v>0</v>
      </c>
      <c r="E12" s="41">
        <f t="shared" si="0"/>
        <v>0</v>
      </c>
      <c r="F12" s="11">
        <f t="shared" si="0"/>
        <v>0</v>
      </c>
      <c r="G12" s="11">
        <f t="shared" si="0"/>
        <v>0</v>
      </c>
      <c r="H12" s="11">
        <f t="shared" si="0"/>
        <v>0</v>
      </c>
      <c r="I12" s="41">
        <f t="shared" si="0"/>
        <v>0</v>
      </c>
      <c r="J12" s="11">
        <f t="shared" si="0"/>
        <v>0</v>
      </c>
      <c r="K12" s="11">
        <f t="shared" si="0"/>
        <v>0</v>
      </c>
      <c r="L12" s="11">
        <f>SUM(C12:K12)*60000/250000</f>
        <v>0</v>
      </c>
      <c r="M12" s="11">
        <f>SUM(C12:L12)</f>
        <v>0</v>
      </c>
      <c r="N12" s="1"/>
      <c r="O12" s="35" t="s">
        <v>75</v>
      </c>
      <c r="P12" s="36">
        <v>331.61</v>
      </c>
    </row>
    <row r="13" spans="1:16" ht="15.75">
      <c r="A13" s="15">
        <v>1</v>
      </c>
      <c r="B13" s="69" t="s">
        <v>22</v>
      </c>
      <c r="C13" s="12"/>
      <c r="D13" s="12"/>
      <c r="E13" s="12"/>
      <c r="F13" s="12"/>
      <c r="G13" s="12"/>
      <c r="H13" s="12"/>
      <c r="I13" s="12"/>
      <c r="J13" s="12"/>
      <c r="K13" s="12"/>
      <c r="L13" s="12"/>
      <c r="M13" s="12"/>
      <c r="N13" s="1"/>
      <c r="O13" s="42" t="s">
        <v>76</v>
      </c>
      <c r="P13" s="43">
        <v>1.21</v>
      </c>
    </row>
    <row r="14" spans="1:16" ht="15.75">
      <c r="B14" s="71" t="s">
        <v>23</v>
      </c>
      <c r="N14" s="1"/>
      <c r="O14" s="1"/>
      <c r="P14" s="44"/>
    </row>
    <row r="15" spans="1:16" ht="15.75">
      <c r="A15" s="15">
        <v>1.1000000000000001</v>
      </c>
      <c r="B15" s="70" t="s">
        <v>24</v>
      </c>
      <c r="C15" s="16">
        <v>0.2</v>
      </c>
      <c r="D15" s="16">
        <v>1</v>
      </c>
      <c r="E15" s="16">
        <v>1</v>
      </c>
      <c r="F15" s="16">
        <v>1</v>
      </c>
      <c r="G15" s="16">
        <v>1</v>
      </c>
      <c r="H15" s="16">
        <v>1</v>
      </c>
      <c r="I15" s="16">
        <v>0.93</v>
      </c>
      <c r="J15" s="16">
        <v>0.05</v>
      </c>
      <c r="K15" s="16">
        <v>0.05</v>
      </c>
      <c r="L15" s="16" t="s">
        <v>0</v>
      </c>
      <c r="M15" s="12"/>
      <c r="N15" s="1"/>
      <c r="O15" s="1"/>
      <c r="P15" s="44"/>
    </row>
    <row r="16" spans="1:16" ht="15.75">
      <c r="A16" s="45">
        <v>1.2</v>
      </c>
      <c r="B16" s="70" t="s">
        <v>25</v>
      </c>
      <c r="C16" s="17">
        <f>0.41*12/10</f>
        <v>0.49199999999999999</v>
      </c>
      <c r="D16" s="17"/>
      <c r="E16" s="17">
        <v>0</v>
      </c>
      <c r="F16" s="17">
        <v>0</v>
      </c>
      <c r="G16" s="18">
        <v>2.94</v>
      </c>
      <c r="H16" s="17">
        <v>0.41</v>
      </c>
      <c r="I16" s="17">
        <v>0.25</v>
      </c>
      <c r="J16" s="17">
        <v>0</v>
      </c>
      <c r="K16" s="19">
        <f>(0.3*30+0.7*15)/65</f>
        <v>0.3</v>
      </c>
      <c r="L16" s="17"/>
      <c r="M16" s="17"/>
      <c r="N16" s="46"/>
      <c r="O16" s="46"/>
      <c r="P16" s="47"/>
    </row>
    <row r="17" spans="1:16" ht="15.75">
      <c r="A17" s="15">
        <v>1.3</v>
      </c>
      <c r="B17" s="70" t="s">
        <v>26</v>
      </c>
      <c r="C17" s="14">
        <f>(C16*65*C9)</f>
        <v>0</v>
      </c>
      <c r="D17" s="14">
        <f>(D16*65*D9)</f>
        <v>0</v>
      </c>
      <c r="E17" s="20">
        <f>(E16*65*0.33*E9)</f>
        <v>0</v>
      </c>
      <c r="F17" s="20">
        <f t="shared" ref="F17:J17" si="1">(F16*65*F9)</f>
        <v>0</v>
      </c>
      <c r="G17" s="20">
        <f t="shared" si="1"/>
        <v>0</v>
      </c>
      <c r="H17" s="14">
        <f t="shared" si="1"/>
        <v>0</v>
      </c>
      <c r="I17" s="14">
        <f t="shared" si="1"/>
        <v>0</v>
      </c>
      <c r="J17" s="14">
        <f t="shared" si="1"/>
        <v>0</v>
      </c>
      <c r="K17" s="14">
        <f>(0.7*15+0.3*30)*K9</f>
        <v>0</v>
      </c>
      <c r="L17" s="14" t="s">
        <v>0</v>
      </c>
      <c r="M17" s="14">
        <f>SUM(C17:L17)</f>
        <v>0</v>
      </c>
      <c r="N17" s="1"/>
      <c r="O17" s="1"/>
      <c r="P17" s="44"/>
    </row>
    <row r="18" spans="1:16" ht="15.75">
      <c r="A18" s="15"/>
      <c r="B18" s="69" t="s">
        <v>27</v>
      </c>
      <c r="C18" s="14"/>
      <c r="D18" s="14"/>
      <c r="E18" s="14"/>
      <c r="F18" s="14"/>
      <c r="G18" s="14"/>
      <c r="H18" s="14"/>
      <c r="I18" s="14"/>
      <c r="J18" s="14"/>
      <c r="K18" s="14"/>
      <c r="L18" s="14"/>
      <c r="M18" s="14"/>
      <c r="N18" s="1"/>
      <c r="O18" s="1"/>
      <c r="P18" s="44"/>
    </row>
    <row r="19" spans="1:16" ht="15.75">
      <c r="A19" s="15">
        <v>1.4</v>
      </c>
      <c r="B19" s="70" t="s">
        <v>28</v>
      </c>
      <c r="C19" s="12" t="s">
        <v>29</v>
      </c>
      <c r="D19" s="12"/>
      <c r="E19" s="12"/>
      <c r="F19" s="12"/>
      <c r="G19" s="12" t="s">
        <v>30</v>
      </c>
      <c r="H19" s="12" t="s">
        <v>31</v>
      </c>
      <c r="I19" s="12" t="s">
        <v>30</v>
      </c>
      <c r="J19" s="12">
        <v>0</v>
      </c>
      <c r="K19" s="12" t="s">
        <v>32</v>
      </c>
      <c r="L19" s="12" t="s">
        <v>0</v>
      </c>
      <c r="M19" s="12"/>
      <c r="N19" s="1"/>
      <c r="O19" s="1"/>
      <c r="P19" s="44"/>
    </row>
    <row r="20" spans="1:16" ht="15.75">
      <c r="A20" s="15">
        <v>1.5</v>
      </c>
      <c r="B20" s="70" t="s">
        <v>33</v>
      </c>
      <c r="C20" s="21" t="s">
        <v>34</v>
      </c>
      <c r="D20" s="22" t="s">
        <v>35</v>
      </c>
      <c r="E20" s="21" t="s">
        <v>34</v>
      </c>
      <c r="F20" s="12">
        <v>0</v>
      </c>
      <c r="G20" s="12" t="s">
        <v>36</v>
      </c>
      <c r="H20" s="12">
        <v>5</v>
      </c>
      <c r="I20" s="21" t="s">
        <v>37</v>
      </c>
      <c r="J20" s="12">
        <v>0</v>
      </c>
      <c r="K20" s="12" t="s">
        <v>34</v>
      </c>
      <c r="L20" s="12"/>
      <c r="M20" s="12"/>
      <c r="N20" s="1"/>
      <c r="O20" s="1"/>
      <c r="P20" s="44"/>
    </row>
    <row r="21" spans="1:16" ht="15.75">
      <c r="A21" s="15"/>
      <c r="B21" s="70"/>
      <c r="C21" s="12"/>
      <c r="D21" s="12"/>
      <c r="E21" s="12"/>
      <c r="F21" s="12"/>
      <c r="G21" s="12"/>
      <c r="H21" s="12"/>
      <c r="I21" s="12"/>
      <c r="J21" s="12"/>
      <c r="K21" s="12"/>
      <c r="L21" s="12"/>
      <c r="M21" s="14"/>
      <c r="N21" s="1"/>
      <c r="O21" s="1"/>
      <c r="P21" s="44"/>
    </row>
    <row r="22" spans="1:16" ht="15.75">
      <c r="A22" s="15">
        <v>2</v>
      </c>
      <c r="B22" s="69" t="s">
        <v>38</v>
      </c>
      <c r="C22" s="12"/>
      <c r="D22" s="12"/>
      <c r="E22" s="12"/>
      <c r="F22" s="12"/>
      <c r="G22" s="12"/>
      <c r="H22" s="12"/>
      <c r="I22" s="12"/>
      <c r="J22" s="12"/>
      <c r="K22" s="12"/>
      <c r="L22" s="12"/>
      <c r="M22" s="14"/>
      <c r="N22" s="1"/>
      <c r="O22" s="1"/>
      <c r="P22" s="1"/>
    </row>
    <row r="23" spans="1:16" ht="15.75">
      <c r="A23" s="15">
        <v>2.1</v>
      </c>
      <c r="B23" s="70" t="s">
        <v>39</v>
      </c>
      <c r="C23" s="17" t="s">
        <v>40</v>
      </c>
      <c r="D23" s="17">
        <v>0</v>
      </c>
      <c r="E23" s="17">
        <v>0</v>
      </c>
      <c r="F23" s="17">
        <v>0</v>
      </c>
      <c r="G23" s="17">
        <v>0</v>
      </c>
      <c r="H23" s="48">
        <v>0</v>
      </c>
      <c r="I23" s="49" t="s">
        <v>41</v>
      </c>
      <c r="J23" s="50" t="s">
        <v>40</v>
      </c>
      <c r="K23" s="17">
        <v>0</v>
      </c>
      <c r="L23" s="12"/>
      <c r="M23" s="12"/>
      <c r="N23" s="1"/>
      <c r="O23" s="1"/>
      <c r="P23" s="1"/>
    </row>
    <row r="24" spans="1:16" ht="15.75">
      <c r="A24" s="15">
        <v>2.2000000000000002</v>
      </c>
      <c r="B24" s="70" t="s">
        <v>42</v>
      </c>
      <c r="C24" s="51">
        <v>0</v>
      </c>
      <c r="D24" s="51">
        <v>0</v>
      </c>
      <c r="E24" s="51">
        <v>0</v>
      </c>
      <c r="F24" s="51">
        <v>0</v>
      </c>
      <c r="G24" s="51">
        <v>0</v>
      </c>
      <c r="H24" s="51">
        <v>0</v>
      </c>
      <c r="I24" s="51">
        <v>1</v>
      </c>
      <c r="J24" s="51">
        <v>0.87</v>
      </c>
      <c r="K24" s="51">
        <v>0</v>
      </c>
      <c r="L24" s="12"/>
      <c r="M24" s="12"/>
      <c r="N24" s="1"/>
      <c r="O24" s="1"/>
      <c r="P24" s="1"/>
    </row>
    <row r="25" spans="1:16" ht="15.75">
      <c r="A25" s="15">
        <v>2.2999999999999998</v>
      </c>
      <c r="B25" s="70" t="s">
        <v>43</v>
      </c>
      <c r="C25" s="17" t="s">
        <v>44</v>
      </c>
      <c r="D25" s="17" t="s">
        <v>45</v>
      </c>
      <c r="E25" s="17" t="s">
        <v>45</v>
      </c>
      <c r="F25" s="17" t="s">
        <v>45</v>
      </c>
      <c r="G25" s="17" t="s">
        <v>45</v>
      </c>
      <c r="H25" s="17" t="s">
        <v>45</v>
      </c>
      <c r="I25" s="17" t="s">
        <v>46</v>
      </c>
      <c r="J25" s="17" t="s">
        <v>44</v>
      </c>
      <c r="K25" s="17" t="s">
        <v>45</v>
      </c>
      <c r="L25" s="12" t="s">
        <v>0</v>
      </c>
      <c r="M25" s="12"/>
      <c r="N25" s="1"/>
      <c r="O25" s="1"/>
      <c r="P25" s="1"/>
    </row>
    <row r="26" spans="1:16" ht="15.75">
      <c r="A26" s="15">
        <v>2.4</v>
      </c>
      <c r="B26" s="70" t="s">
        <v>47</v>
      </c>
      <c r="C26" s="51" t="s">
        <v>48</v>
      </c>
      <c r="D26" s="51">
        <v>0</v>
      </c>
      <c r="E26" s="51">
        <v>0</v>
      </c>
      <c r="F26" s="51">
        <v>0</v>
      </c>
      <c r="G26" s="51">
        <v>0</v>
      </c>
      <c r="H26" s="51">
        <v>0</v>
      </c>
      <c r="I26" s="51">
        <v>7.0000000000000007E-2</v>
      </c>
      <c r="J26" s="51">
        <v>0.38</v>
      </c>
      <c r="K26" s="51" t="s">
        <v>48</v>
      </c>
      <c r="L26" s="16" t="s">
        <v>0</v>
      </c>
      <c r="M26" s="12"/>
      <c r="N26" s="1"/>
      <c r="O26" s="1"/>
      <c r="P26" s="1"/>
    </row>
    <row r="27" spans="1:16" ht="15.75">
      <c r="A27" s="15">
        <v>2.5</v>
      </c>
      <c r="B27" s="70" t="s">
        <v>49</v>
      </c>
      <c r="C27" s="51">
        <v>0.2</v>
      </c>
      <c r="D27" s="51" t="s">
        <v>50</v>
      </c>
      <c r="E27" s="51" t="s">
        <v>50</v>
      </c>
      <c r="F27" s="51" t="s">
        <v>50</v>
      </c>
      <c r="G27" s="51" t="s">
        <v>50</v>
      </c>
      <c r="H27" s="51" t="s">
        <v>50</v>
      </c>
      <c r="I27" s="17" t="s">
        <v>51</v>
      </c>
      <c r="J27" s="17" t="s">
        <v>52</v>
      </c>
      <c r="K27" s="17" t="s">
        <v>53</v>
      </c>
      <c r="L27" s="12"/>
      <c r="M27" s="12"/>
      <c r="N27" s="1"/>
      <c r="O27" s="1"/>
      <c r="P27" s="1"/>
    </row>
    <row r="28" spans="1:16" ht="15.75">
      <c r="A28" s="15"/>
      <c r="B28" s="70"/>
      <c r="C28" s="51"/>
      <c r="D28" s="51"/>
      <c r="E28" s="51"/>
      <c r="F28" s="51"/>
      <c r="G28" s="51"/>
      <c r="H28" s="51"/>
      <c r="I28" s="17"/>
      <c r="J28" s="17"/>
      <c r="K28" s="17"/>
      <c r="L28" s="12"/>
      <c r="M28" s="12"/>
      <c r="N28" s="1"/>
      <c r="O28" s="1"/>
      <c r="P28" s="1"/>
    </row>
    <row r="29" spans="1:16" ht="15.75">
      <c r="A29" s="15">
        <v>3</v>
      </c>
      <c r="B29" s="69" t="s">
        <v>54</v>
      </c>
      <c r="C29" s="12"/>
      <c r="D29" s="12"/>
      <c r="E29" s="12"/>
      <c r="F29" s="12"/>
      <c r="G29" s="12"/>
      <c r="H29" s="12"/>
      <c r="I29" s="12"/>
      <c r="J29" s="12"/>
      <c r="K29" s="12"/>
      <c r="L29" s="12"/>
      <c r="M29" s="12"/>
      <c r="N29" s="1"/>
      <c r="O29" s="1"/>
      <c r="P29" s="1"/>
    </row>
    <row r="30" spans="1:16" ht="15.75">
      <c r="A30" s="15">
        <v>3.1</v>
      </c>
      <c r="B30" s="70" t="s">
        <v>55</v>
      </c>
      <c r="C30" s="12">
        <v>0.1</v>
      </c>
      <c r="D30" s="12">
        <v>0.34</v>
      </c>
      <c r="E30" s="12">
        <v>0.1</v>
      </c>
      <c r="F30" s="12">
        <v>1</v>
      </c>
      <c r="G30" s="12">
        <v>1</v>
      </c>
      <c r="H30" s="12">
        <v>2.61</v>
      </c>
      <c r="I30" s="12">
        <v>3.96</v>
      </c>
      <c r="J30" s="12">
        <v>4.54</v>
      </c>
      <c r="K30" s="12">
        <v>0.18</v>
      </c>
      <c r="L30" s="23">
        <v>0.1</v>
      </c>
      <c r="M30" s="14"/>
      <c r="N30" s="1"/>
      <c r="O30" s="1"/>
      <c r="P30" s="1"/>
    </row>
    <row r="31" spans="1:16" ht="15.75">
      <c r="A31" s="15">
        <v>3.2</v>
      </c>
      <c r="B31" s="70" t="s">
        <v>56</v>
      </c>
      <c r="C31" s="14">
        <f>(C30*C9)</f>
        <v>0</v>
      </c>
      <c r="D31" s="14">
        <f>(G9)/1</f>
        <v>0</v>
      </c>
      <c r="E31" s="14">
        <f t="shared" ref="E31:K31" si="2">(E30*E9)</f>
        <v>0</v>
      </c>
      <c r="F31" s="14">
        <f t="shared" si="2"/>
        <v>0</v>
      </c>
      <c r="G31" s="14">
        <f t="shared" si="2"/>
        <v>0</v>
      </c>
      <c r="H31" s="14">
        <f t="shared" si="2"/>
        <v>0</v>
      </c>
      <c r="I31" s="14">
        <f t="shared" si="2"/>
        <v>0</v>
      </c>
      <c r="J31" s="14">
        <f t="shared" si="2"/>
        <v>0</v>
      </c>
      <c r="K31" s="14">
        <f t="shared" si="2"/>
        <v>0</v>
      </c>
      <c r="L31" s="14">
        <f>(L30*M9)</f>
        <v>0</v>
      </c>
      <c r="M31" s="14">
        <f>SUM(C31:L31)</f>
        <v>0</v>
      </c>
      <c r="N31" s="1"/>
      <c r="O31" s="1"/>
      <c r="P31" s="1"/>
    </row>
    <row r="32" spans="1:16" ht="15.75">
      <c r="A32" s="15">
        <v>3.3</v>
      </c>
      <c r="B32" s="70" t="s">
        <v>57</v>
      </c>
      <c r="C32" s="14">
        <f t="shared" ref="C32:M32" si="3">(C31/180)</f>
        <v>0</v>
      </c>
      <c r="D32" s="14">
        <f t="shared" si="3"/>
        <v>0</v>
      </c>
      <c r="E32" s="14">
        <f t="shared" si="3"/>
        <v>0</v>
      </c>
      <c r="F32" s="14">
        <f t="shared" si="3"/>
        <v>0</v>
      </c>
      <c r="G32" s="14">
        <f t="shared" si="3"/>
        <v>0</v>
      </c>
      <c r="H32" s="14">
        <f t="shared" si="3"/>
        <v>0</v>
      </c>
      <c r="I32" s="14">
        <f t="shared" si="3"/>
        <v>0</v>
      </c>
      <c r="J32" s="14">
        <f t="shared" si="3"/>
        <v>0</v>
      </c>
      <c r="K32" s="14">
        <f>(K31/180)</f>
        <v>0</v>
      </c>
      <c r="L32" s="14">
        <f t="shared" si="3"/>
        <v>0</v>
      </c>
      <c r="M32" s="14">
        <f t="shared" si="3"/>
        <v>0</v>
      </c>
      <c r="N32" s="1"/>
      <c r="O32" s="1"/>
      <c r="P32" s="1"/>
    </row>
    <row r="33" spans="1:16" ht="15.75">
      <c r="A33" s="15">
        <v>3.4</v>
      </c>
      <c r="B33" s="70" t="s">
        <v>58</v>
      </c>
      <c r="C33" s="16">
        <v>0</v>
      </c>
      <c r="D33" s="16">
        <v>0</v>
      </c>
      <c r="E33" s="16">
        <v>0.01</v>
      </c>
      <c r="F33" s="16">
        <v>0</v>
      </c>
      <c r="G33" s="16">
        <v>0.16</v>
      </c>
      <c r="H33" s="16">
        <v>0.16</v>
      </c>
      <c r="I33" s="16">
        <v>0.16</v>
      </c>
      <c r="J33" s="16">
        <v>0.16</v>
      </c>
      <c r="K33" s="16">
        <v>0</v>
      </c>
      <c r="L33" s="16">
        <v>0</v>
      </c>
      <c r="M33" s="12"/>
      <c r="N33" s="1"/>
      <c r="O33" s="1"/>
      <c r="P33" s="1"/>
    </row>
    <row r="34" spans="1:16" ht="15.75">
      <c r="A34" s="15">
        <v>3.5</v>
      </c>
      <c r="B34" s="70" t="s">
        <v>59</v>
      </c>
      <c r="C34" s="16">
        <v>0</v>
      </c>
      <c r="D34" s="16">
        <v>0</v>
      </c>
      <c r="E34" s="16">
        <v>0.01</v>
      </c>
      <c r="F34" s="16">
        <v>0</v>
      </c>
      <c r="G34" s="16">
        <v>0.2</v>
      </c>
      <c r="H34" s="16">
        <v>0.2</v>
      </c>
      <c r="I34" s="16">
        <v>0.2</v>
      </c>
      <c r="J34" s="16">
        <v>0.2</v>
      </c>
      <c r="K34" s="16">
        <v>0</v>
      </c>
      <c r="L34" s="16">
        <v>0</v>
      </c>
      <c r="M34" s="12"/>
      <c r="N34" s="1"/>
      <c r="O34" s="1"/>
      <c r="P34" s="1"/>
    </row>
    <row r="35" spans="1:16" ht="15.75">
      <c r="A35" s="15">
        <v>3.6</v>
      </c>
      <c r="B35" s="70" t="s">
        <v>60</v>
      </c>
      <c r="C35" s="16">
        <f t="shared" ref="C35:L35" si="4">(1-C34-C33)</f>
        <v>1</v>
      </c>
      <c r="D35" s="16">
        <f t="shared" si="4"/>
        <v>1</v>
      </c>
      <c r="E35" s="16">
        <f t="shared" si="4"/>
        <v>0.98</v>
      </c>
      <c r="F35" s="16">
        <f t="shared" si="4"/>
        <v>1</v>
      </c>
      <c r="G35" s="16">
        <f t="shared" si="4"/>
        <v>0.64</v>
      </c>
      <c r="H35" s="16">
        <f t="shared" si="4"/>
        <v>0.64</v>
      </c>
      <c r="I35" s="16">
        <f t="shared" si="4"/>
        <v>0.64</v>
      </c>
      <c r="J35" s="16">
        <f t="shared" si="4"/>
        <v>0.64</v>
      </c>
      <c r="K35" s="16">
        <f>(1-K34-K33)</f>
        <v>1</v>
      </c>
      <c r="L35" s="16">
        <f t="shared" si="4"/>
        <v>1</v>
      </c>
      <c r="M35" s="12"/>
      <c r="N35" s="1"/>
      <c r="O35" s="1"/>
      <c r="P35" s="1"/>
    </row>
    <row r="36" spans="1:16" ht="18.75">
      <c r="A36" s="15">
        <v>3.7</v>
      </c>
      <c r="B36" s="70" t="s">
        <v>61</v>
      </c>
      <c r="C36" s="20">
        <f>(C17*1.05)/1000</f>
        <v>0</v>
      </c>
      <c r="D36" s="20">
        <f t="shared" ref="D36:K36" si="5">(D17*1.05)/1000</f>
        <v>0</v>
      </c>
      <c r="E36" s="20">
        <f t="shared" si="5"/>
        <v>0</v>
      </c>
      <c r="F36" s="20">
        <f t="shared" si="5"/>
        <v>0</v>
      </c>
      <c r="G36" s="20">
        <f t="shared" si="5"/>
        <v>0</v>
      </c>
      <c r="H36" s="20">
        <f t="shared" si="5"/>
        <v>0</v>
      </c>
      <c r="I36" s="20">
        <f t="shared" si="5"/>
        <v>0</v>
      </c>
      <c r="J36" s="20">
        <f t="shared" si="5"/>
        <v>0</v>
      </c>
      <c r="K36" s="20">
        <f t="shared" si="5"/>
        <v>0</v>
      </c>
      <c r="L36" s="14"/>
      <c r="M36" s="24">
        <f>SUM(C36:K36)</f>
        <v>0</v>
      </c>
      <c r="N36" s="1"/>
      <c r="O36" s="1"/>
      <c r="P36" s="1"/>
    </row>
    <row r="37" spans="1:16" ht="15.75">
      <c r="A37" s="15">
        <v>3.8</v>
      </c>
      <c r="B37" s="70" t="s">
        <v>62</v>
      </c>
      <c r="C37" s="20">
        <f>(C17*2.23)/1000</f>
        <v>0</v>
      </c>
      <c r="D37" s="20">
        <f t="shared" ref="D37:K37" si="6">(D17*2.23)/1000</f>
        <v>0</v>
      </c>
      <c r="E37" s="20">
        <f t="shared" si="6"/>
        <v>0</v>
      </c>
      <c r="F37" s="20">
        <f t="shared" si="6"/>
        <v>0</v>
      </c>
      <c r="G37" s="20">
        <f t="shared" si="6"/>
        <v>0</v>
      </c>
      <c r="H37" s="20">
        <f t="shared" si="6"/>
        <v>0</v>
      </c>
      <c r="I37" s="20">
        <f t="shared" si="6"/>
        <v>0</v>
      </c>
      <c r="J37" s="20">
        <f t="shared" si="6"/>
        <v>0</v>
      </c>
      <c r="K37" s="20">
        <f t="shared" si="6"/>
        <v>0</v>
      </c>
      <c r="L37" s="14"/>
      <c r="M37" s="24">
        <f>SUM(C37:K37)</f>
        <v>0</v>
      </c>
      <c r="N37" s="1"/>
      <c r="O37" s="1"/>
      <c r="P37" s="1"/>
    </row>
    <row r="38" spans="1:16" ht="15.75">
      <c r="A38" s="15"/>
      <c r="B38" s="70"/>
      <c r="C38" s="12"/>
      <c r="D38" s="12"/>
      <c r="E38" s="12"/>
      <c r="F38" s="12"/>
      <c r="G38" s="12"/>
      <c r="H38" s="12"/>
      <c r="I38" s="12"/>
      <c r="J38" s="12"/>
      <c r="K38" s="12"/>
      <c r="L38" s="12"/>
      <c r="M38" s="12"/>
      <c r="N38" s="1"/>
      <c r="O38" s="1"/>
      <c r="P38" s="1"/>
    </row>
    <row r="39" spans="1:16" ht="15.75">
      <c r="A39" s="15">
        <v>4</v>
      </c>
      <c r="B39" s="69" t="s">
        <v>63</v>
      </c>
      <c r="C39" s="2"/>
      <c r="D39" s="2"/>
      <c r="E39" s="1"/>
      <c r="F39" s="1"/>
      <c r="G39" s="1"/>
      <c r="H39" s="1"/>
      <c r="I39" s="1"/>
      <c r="J39" s="1"/>
      <c r="K39" s="1"/>
      <c r="L39" s="1"/>
      <c r="M39" s="1"/>
      <c r="N39" s="1"/>
      <c r="O39" s="1"/>
      <c r="P39" s="1"/>
    </row>
    <row r="40" spans="1:16" ht="15.75">
      <c r="A40" s="15">
        <v>4.0999999999999996</v>
      </c>
      <c r="B40" s="72" t="s">
        <v>64</v>
      </c>
      <c r="C40" s="25">
        <f>(0.54+0.14)*C12</f>
        <v>0</v>
      </c>
      <c r="D40" s="25">
        <f t="shared" ref="D40:L40" si="7">(0.54+0.14)*D12</f>
        <v>0</v>
      </c>
      <c r="E40" s="25">
        <f t="shared" si="7"/>
        <v>0</v>
      </c>
      <c r="F40" s="25">
        <f t="shared" si="7"/>
        <v>0</v>
      </c>
      <c r="G40" s="25">
        <f t="shared" si="7"/>
        <v>0</v>
      </c>
      <c r="H40" s="25">
        <f t="shared" si="7"/>
        <v>0</v>
      </c>
      <c r="I40" s="25">
        <f t="shared" si="7"/>
        <v>0</v>
      </c>
      <c r="J40" s="25">
        <f t="shared" si="7"/>
        <v>0</v>
      </c>
      <c r="K40" s="25">
        <f t="shared" si="7"/>
        <v>0</v>
      </c>
      <c r="L40" s="25">
        <f t="shared" si="7"/>
        <v>0</v>
      </c>
      <c r="M40" s="26">
        <f>SUM(C40:L40)</f>
        <v>0</v>
      </c>
      <c r="N40" s="1"/>
      <c r="O40" s="1"/>
      <c r="P40" s="1"/>
    </row>
    <row r="41" spans="1:16" ht="15.75">
      <c r="A41" s="15">
        <v>4.2</v>
      </c>
      <c r="B41" s="70" t="s">
        <v>88</v>
      </c>
      <c r="C41" s="11">
        <f>C17*116</f>
        <v>0</v>
      </c>
      <c r="D41" s="11">
        <f t="shared" ref="D41:K41" si="8">D17*116</f>
        <v>0</v>
      </c>
      <c r="E41" s="11">
        <f t="shared" si="8"/>
        <v>0</v>
      </c>
      <c r="F41" s="11">
        <f t="shared" si="8"/>
        <v>0</v>
      </c>
      <c r="G41" s="11">
        <f t="shared" si="8"/>
        <v>0</v>
      </c>
      <c r="H41" s="11">
        <f t="shared" si="8"/>
        <v>0</v>
      </c>
      <c r="I41" s="11">
        <f t="shared" si="8"/>
        <v>0</v>
      </c>
      <c r="J41" s="11">
        <f t="shared" si="8"/>
        <v>0</v>
      </c>
      <c r="K41" s="11">
        <f t="shared" si="8"/>
        <v>0</v>
      </c>
      <c r="L41" s="1"/>
      <c r="M41" s="11">
        <f>SUM(C41:K41)</f>
        <v>0</v>
      </c>
      <c r="N41" s="1"/>
      <c r="O41" s="1"/>
      <c r="P41" s="1"/>
    </row>
    <row r="42" spans="1:16" ht="15.75">
      <c r="B42" s="70"/>
      <c r="C42" s="2"/>
      <c r="D42" s="2"/>
      <c r="E42" s="1"/>
      <c r="F42" s="1"/>
      <c r="G42" s="1"/>
      <c r="H42" s="1"/>
      <c r="I42" s="1"/>
      <c r="J42" s="1"/>
      <c r="K42" s="1"/>
      <c r="L42" s="1"/>
      <c r="M42" s="1"/>
      <c r="N42" s="1"/>
      <c r="O42" s="1"/>
      <c r="P42" s="1"/>
    </row>
    <row r="43" spans="1:16" ht="15.75">
      <c r="A43" s="15">
        <v>5</v>
      </c>
      <c r="B43" s="69" t="s">
        <v>65</v>
      </c>
      <c r="C43" s="2"/>
      <c r="D43" s="2"/>
      <c r="E43" s="1"/>
      <c r="F43" s="1"/>
      <c r="G43" s="1"/>
      <c r="H43" s="1"/>
      <c r="I43" s="1"/>
      <c r="J43" s="1"/>
      <c r="K43" s="1"/>
      <c r="L43" s="1"/>
      <c r="M43" s="1"/>
      <c r="N43" s="15" t="s">
        <v>0</v>
      </c>
      <c r="O43" s="1"/>
      <c r="P43" s="1"/>
    </row>
    <row r="44" spans="1:16" ht="15.75">
      <c r="A44" s="15">
        <v>5.0999999999999996</v>
      </c>
      <c r="B44" s="70" t="s">
        <v>90</v>
      </c>
      <c r="C44" s="27">
        <f>C17*0.81</f>
        <v>0</v>
      </c>
      <c r="D44" s="27">
        <f t="shared" ref="D44:J44" si="9">D17*1</f>
        <v>0</v>
      </c>
      <c r="E44" s="27">
        <f t="shared" si="9"/>
        <v>0</v>
      </c>
      <c r="F44" s="27">
        <f t="shared" si="9"/>
        <v>0</v>
      </c>
      <c r="G44" s="27">
        <f>G17*0.81</f>
        <v>0</v>
      </c>
      <c r="H44" s="27">
        <f t="shared" ref="H44" si="10">H17*0.81</f>
        <v>0</v>
      </c>
      <c r="I44" s="27"/>
      <c r="J44" s="27">
        <f t="shared" si="9"/>
        <v>0</v>
      </c>
      <c r="K44" s="27">
        <f>K17*0.71</f>
        <v>0</v>
      </c>
      <c r="L44" s="27"/>
      <c r="M44" s="27">
        <f>SUM(C44:K44)</f>
        <v>0</v>
      </c>
      <c r="N44" s="15" t="s">
        <v>0</v>
      </c>
      <c r="O44" s="1"/>
      <c r="P44" s="1"/>
    </row>
    <row r="45" spans="1:16" ht="15.75">
      <c r="B45" s="1"/>
      <c r="C45" s="2"/>
      <c r="D45" s="2"/>
      <c r="E45" s="1"/>
      <c r="F45" s="1"/>
      <c r="G45" s="1"/>
      <c r="H45" s="1"/>
      <c r="I45" s="1"/>
      <c r="J45" s="1"/>
      <c r="K45" s="1"/>
      <c r="L45" s="1"/>
      <c r="M45" s="1"/>
      <c r="N45" s="1"/>
      <c r="O45" s="1"/>
      <c r="P45" s="1"/>
    </row>
    <row r="46" spans="1:16" ht="15.75">
      <c r="B46" s="1"/>
      <c r="C46" s="2"/>
      <c r="D46" s="2"/>
      <c r="E46" s="1"/>
      <c r="F46" s="1"/>
      <c r="G46" s="1"/>
      <c r="H46" s="1"/>
      <c r="I46" s="1"/>
      <c r="J46" s="1"/>
      <c r="K46" s="1"/>
      <c r="L46" s="1"/>
      <c r="M46" s="1"/>
      <c r="N46" s="1"/>
      <c r="O46" s="1"/>
      <c r="P46" s="1"/>
    </row>
  </sheetData>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10"/>
  <sheetViews>
    <sheetView workbookViewId="0">
      <selection activeCell="B4" sqref="B4"/>
    </sheetView>
  </sheetViews>
  <sheetFormatPr defaultRowHeight="15"/>
  <cols>
    <col min="1" max="1" width="45" customWidth="1"/>
    <col min="2" max="2" width="14.42578125" customWidth="1"/>
  </cols>
  <sheetData>
    <row r="1" spans="1:6" ht="30">
      <c r="A1" s="3" t="s">
        <v>77</v>
      </c>
    </row>
    <row r="2" spans="1:6">
      <c r="A2" s="55" t="s">
        <v>79</v>
      </c>
      <c r="B2" s="55" t="s">
        <v>81</v>
      </c>
      <c r="C2" s="55" t="s">
        <v>82</v>
      </c>
      <c r="D2" s="55" t="s">
        <v>83</v>
      </c>
      <c r="E2" s="55" t="s">
        <v>86</v>
      </c>
      <c r="F2" s="55" t="s">
        <v>87</v>
      </c>
    </row>
    <row r="3" spans="1:6">
      <c r="A3" s="56" t="s">
        <v>80</v>
      </c>
      <c r="B3" s="75"/>
      <c r="C3" s="76"/>
      <c r="D3" s="76"/>
      <c r="E3" s="76"/>
      <c r="F3" s="77"/>
    </row>
    <row r="4" spans="1:6">
      <c r="A4" s="57" t="s">
        <v>55</v>
      </c>
      <c r="B4" s="60">
        <f>Data!M31</f>
        <v>0</v>
      </c>
      <c r="C4" s="59"/>
      <c r="D4" s="59"/>
      <c r="E4" s="59"/>
      <c r="F4" s="59"/>
    </row>
    <row r="5" spans="1:6">
      <c r="A5" s="57" t="s">
        <v>84</v>
      </c>
      <c r="B5" s="60">
        <f>Data!M36</f>
        <v>0</v>
      </c>
      <c r="C5" s="59"/>
      <c r="D5" s="59"/>
      <c r="E5" s="59"/>
      <c r="F5" s="59"/>
    </row>
    <row r="6" spans="1:6">
      <c r="A6" s="57" t="s">
        <v>85</v>
      </c>
      <c r="B6" s="60">
        <f>Data!M37</f>
        <v>0</v>
      </c>
      <c r="C6" s="59"/>
      <c r="D6" s="59"/>
      <c r="E6" s="59"/>
      <c r="F6" s="59"/>
    </row>
    <row r="7" spans="1:6">
      <c r="A7" s="63" t="s">
        <v>89</v>
      </c>
      <c r="B7" s="60">
        <f>Data!M17</f>
        <v>0</v>
      </c>
      <c r="C7" s="59"/>
      <c r="D7" s="59"/>
      <c r="E7" s="59"/>
      <c r="F7" s="59"/>
    </row>
    <row r="8" spans="1:6">
      <c r="A8" s="58" t="s">
        <v>64</v>
      </c>
      <c r="B8" s="62">
        <f>Data!M40</f>
        <v>0</v>
      </c>
      <c r="C8" s="59"/>
      <c r="D8" s="59"/>
      <c r="E8" s="59"/>
      <c r="F8" s="59"/>
    </row>
    <row r="9" spans="1:6">
      <c r="A9" s="57" t="s">
        <v>88</v>
      </c>
      <c r="B9" s="62">
        <f>Data!M41</f>
        <v>0</v>
      </c>
      <c r="C9" s="59"/>
      <c r="D9" s="59"/>
      <c r="E9" s="59"/>
      <c r="F9" s="59"/>
    </row>
    <row r="10" spans="1:6">
      <c r="A10" s="57" t="s">
        <v>90</v>
      </c>
      <c r="B10" s="61">
        <f>Data!M44</f>
        <v>0</v>
      </c>
      <c r="C10" s="59"/>
      <c r="D10" s="59"/>
      <c r="E10" s="59"/>
      <c r="F10" s="59"/>
    </row>
  </sheetData>
  <mergeCells count="1">
    <mergeCell ref="B3:F3"/>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Summary</vt:lpstr>
      <vt:lpstr>Sheet3</vt:lpstr>
    </vt:vector>
  </TitlesOfParts>
  <Company>Province of British Columbia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Powelson, Allan FLNR:EX</dc:creator>
  <cp:lastModifiedBy>Susan</cp:lastModifiedBy>
  <dcterms:created xsi:type="dcterms:W3CDTF">2016-03-04T19:31:04Z</dcterms:created>
  <dcterms:modified xsi:type="dcterms:W3CDTF">2016-06-03T21:15:14Z</dcterms:modified>
</cp:coreProperties>
</file>